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408" windowWidth="23040" windowHeight="9564" activeTab="0"/>
  </bookViews>
  <sheets>
    <sheet name="Simulador" sheetId="1" r:id="rId1"/>
    <sheet name="Plan1" sheetId="2" state="hidden" r:id="rId2"/>
  </sheets>
  <definedNames>
    <definedName name="_xlnm.Print_Area" localSheetId="0">'Simulador'!$A$1:$S$34</definedName>
  </definedNames>
  <calcPr fullCalcOnLoad="1"/>
</workbook>
</file>

<file path=xl/sharedStrings.xml><?xml version="1.0" encoding="utf-8"?>
<sst xmlns="http://schemas.openxmlformats.org/spreadsheetml/2006/main" count="40" uniqueCount="39">
  <si>
    <t>kWp</t>
  </si>
  <si>
    <t>módulos</t>
  </si>
  <si>
    <t>kWh/mês</t>
  </si>
  <si>
    <r>
      <t>m</t>
    </r>
    <r>
      <rPr>
        <b/>
        <sz val="11"/>
        <color indexed="9"/>
        <rFont val="Calibri"/>
        <family val="2"/>
      </rPr>
      <t>²</t>
    </r>
  </si>
  <si>
    <t>Wp</t>
  </si>
  <si>
    <t>KWh</t>
  </si>
  <si>
    <t>Resultados Simulação</t>
  </si>
  <si>
    <t>Parâmetros Pré-Definidos</t>
  </si>
  <si>
    <t>Quantidade de Módulo:</t>
  </si>
  <si>
    <t>Área de Aplicação:</t>
  </si>
  <si>
    <t>Potência do Sistema:</t>
  </si>
  <si>
    <t>Energia Mensal Estimada:</t>
  </si>
  <si>
    <t>Valor Mínimo do Sistema:</t>
  </si>
  <si>
    <t>Percentual Economizado:</t>
  </si>
  <si>
    <t>Valor Economizado:</t>
  </si>
  <si>
    <t>Valor da Tarifa com Impostos:</t>
  </si>
  <si>
    <t>HSP corrigido:</t>
  </si>
  <si>
    <t>Potência por Módulo:</t>
  </si>
  <si>
    <t xml:space="preserve">Taxa de Disponibilidade: </t>
  </si>
  <si>
    <t>Horas</t>
  </si>
  <si>
    <t>X</t>
  </si>
  <si>
    <t>Y</t>
  </si>
  <si>
    <t>Preechimento pelo Cliente</t>
  </si>
  <si>
    <t/>
  </si>
  <si>
    <t>Valor Conta de Energia ANTES</t>
  </si>
  <si>
    <t>Inflação Energética Média Proj:</t>
  </si>
  <si>
    <t>%</t>
  </si>
  <si>
    <t>Resumo Gráfico</t>
  </si>
  <si>
    <t>Economia Total</t>
  </si>
  <si>
    <t>Conta de Energia em 25 anos</t>
  </si>
  <si>
    <t>Conta de Energia com Solar</t>
  </si>
  <si>
    <t>Conta Antes</t>
  </si>
  <si>
    <t>Conta Depois</t>
  </si>
  <si>
    <t xml:space="preserve">SIMULADOR DE CUSTO DE SISTEMA DE ENERGIA SOLAR FOTOVOLTAICA </t>
  </si>
  <si>
    <t>kWh</t>
  </si>
  <si>
    <t>/mês</t>
  </si>
  <si>
    <t>Valor Conta de Energia DEPOIS</t>
  </si>
  <si>
    <r>
      <t xml:space="preserve">MHecon Fotovoltaica                                        </t>
    </r>
    <r>
      <rPr>
        <b/>
        <sz val="11"/>
        <color indexed="13"/>
        <rFont val="Calibri"/>
        <family val="2"/>
      </rPr>
      <t>(31)-99280-0009 / 99888 2310</t>
    </r>
  </si>
  <si>
    <t>MHecon Fotovoltaica                                        (031)-99280-0009 / 99888 2310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</si>
</sst>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&quot;* #,##0.00_);_(&quot;R$&quot;* \(#,##0.00\);_(&quot;R$&quot;* &quot;-&quot;??_);_(@_)"/>
    <numFmt numFmtId="171" formatCode="&quot;R$&quot;#,##0.00_);[Red]\(&quot;R$&quot;#,##0.00\)"/>
  </numFmts>
  <fonts count="54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3"/>
      <name val="Calibri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3"/>
      <name val="Calibri"/>
      <family val="2"/>
    </font>
    <font>
      <b/>
      <sz val="18"/>
      <color indexed="13"/>
      <name val="Calibri"/>
      <family val="2"/>
    </font>
    <font>
      <b/>
      <sz val="14"/>
      <name val="Calibri"/>
      <family val="2"/>
    </font>
    <font>
      <b/>
      <sz val="18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1"/>
      <color theme="0"/>
      <name val="Calibri"/>
      <family val="2"/>
    </font>
    <font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00"/>
      <name val="Calibri"/>
      <family val="2"/>
    </font>
    <font>
      <sz val="11"/>
      <color theme="0"/>
      <name val="Calibri"/>
      <family val="2"/>
    </font>
    <font>
      <sz val="11"/>
      <color rgb="FFFFFF00"/>
      <name val="Calibri"/>
      <family val="2"/>
    </font>
    <font>
      <b/>
      <sz val="11"/>
      <color rgb="FFFFFFFF"/>
      <name val="Calibri"/>
      <family val="2"/>
    </font>
    <font>
      <b/>
      <sz val="18"/>
      <color rgb="FFFFFF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46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44" fontId="0" fillId="0" borderId="0" xfId="45" applyFont="1" applyBorder="1" applyAlignment="1">
      <alignment/>
    </xf>
    <xf numFmtId="44" fontId="0" fillId="0" borderId="15" xfId="45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horizontal="center" vertical="center"/>
    </xf>
    <xf numFmtId="0" fontId="49" fillId="33" borderId="19" xfId="0" applyFont="1" applyFill="1" applyBorder="1" applyAlignment="1">
      <alignment/>
    </xf>
    <xf numFmtId="0" fontId="49" fillId="33" borderId="20" xfId="0" applyFont="1" applyFill="1" applyBorder="1" applyAlignment="1">
      <alignment/>
    </xf>
    <xf numFmtId="0" fontId="49" fillId="33" borderId="21" xfId="0" applyFont="1" applyFill="1" applyBorder="1" applyAlignment="1">
      <alignment/>
    </xf>
    <xf numFmtId="0" fontId="46" fillId="33" borderId="22" xfId="0" applyFont="1" applyFill="1" applyBorder="1" applyAlignment="1">
      <alignment/>
    </xf>
    <xf numFmtId="0" fontId="50" fillId="33" borderId="22" xfId="0" applyFont="1" applyFill="1" applyBorder="1" applyAlignment="1">
      <alignment/>
    </xf>
    <xf numFmtId="2" fontId="46" fillId="33" borderId="10" xfId="0" applyNumberFormat="1" applyFont="1" applyFill="1" applyBorder="1" applyAlignment="1">
      <alignment/>
    </xf>
    <xf numFmtId="44" fontId="46" fillId="33" borderId="10" xfId="45" applyFont="1" applyFill="1" applyBorder="1" applyAlignment="1">
      <alignment/>
    </xf>
    <xf numFmtId="2" fontId="46" fillId="34" borderId="10" xfId="0" applyNumberFormat="1" applyFont="1" applyFill="1" applyBorder="1" applyAlignment="1">
      <alignment/>
    </xf>
    <xf numFmtId="2" fontId="46" fillId="34" borderId="23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0" fontId="0" fillId="0" borderId="14" xfId="0" applyBorder="1" applyAlignment="1">
      <alignment horizontal="right"/>
    </xf>
    <xf numFmtId="0" fontId="0" fillId="35" borderId="0" xfId="0" applyFill="1" applyAlignment="1">
      <alignment/>
    </xf>
    <xf numFmtId="0" fontId="0" fillId="35" borderId="14" xfId="0" applyFill="1" applyBorder="1" applyAlignment="1">
      <alignment/>
    </xf>
    <xf numFmtId="0" fontId="49" fillId="35" borderId="16" xfId="0" applyFont="1" applyFill="1" applyBorder="1" applyAlignment="1">
      <alignment/>
    </xf>
    <xf numFmtId="2" fontId="46" fillId="35" borderId="17" xfId="0" applyNumberFormat="1" applyFont="1" applyFill="1" applyBorder="1" applyAlignment="1">
      <alignment/>
    </xf>
    <xf numFmtId="0" fontId="46" fillId="35" borderId="17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0" xfId="0" applyFill="1" applyBorder="1" applyAlignment="1">
      <alignment horizontal="center" vertical="center"/>
    </xf>
    <xf numFmtId="0" fontId="46" fillId="33" borderId="24" xfId="0" applyFont="1" applyFill="1" applyBorder="1" applyAlignment="1">
      <alignment/>
    </xf>
    <xf numFmtId="44" fontId="46" fillId="33" borderId="17" xfId="45" applyFont="1" applyFill="1" applyBorder="1" applyAlignment="1">
      <alignment/>
    </xf>
    <xf numFmtId="0" fontId="49" fillId="35" borderId="25" xfId="0" applyFont="1" applyFill="1" applyBorder="1" applyAlignment="1">
      <alignment/>
    </xf>
    <xf numFmtId="44" fontId="46" fillId="35" borderId="0" xfId="45" applyFont="1" applyFill="1" applyBorder="1" applyAlignment="1">
      <alignment/>
    </xf>
    <xf numFmtId="0" fontId="50" fillId="35" borderId="26" xfId="0" applyFont="1" applyFill="1" applyBorder="1" applyAlignment="1">
      <alignment/>
    </xf>
    <xf numFmtId="0" fontId="46" fillId="33" borderId="27" xfId="0" applyFont="1" applyFill="1" applyBorder="1" applyAlignment="1">
      <alignment/>
    </xf>
    <xf numFmtId="0" fontId="50" fillId="33" borderId="28" xfId="0" applyFont="1" applyFill="1" applyBorder="1" applyAlignment="1">
      <alignment/>
    </xf>
    <xf numFmtId="0" fontId="50" fillId="33" borderId="27" xfId="0" applyFont="1" applyFill="1" applyBorder="1" applyAlignment="1">
      <alignment/>
    </xf>
    <xf numFmtId="2" fontId="46" fillId="33" borderId="24" xfId="49" applyNumberFormat="1" applyFont="1" applyFill="1" applyBorder="1" applyAlignment="1">
      <alignment/>
    </xf>
    <xf numFmtId="0" fontId="46" fillId="33" borderId="28" xfId="49" applyNumberFormat="1" applyFont="1" applyFill="1" applyBorder="1" applyAlignment="1">
      <alignment/>
    </xf>
    <xf numFmtId="0" fontId="0" fillId="0" borderId="15" xfId="0" applyBorder="1" applyAlignment="1">
      <alignment/>
    </xf>
    <xf numFmtId="0" fontId="51" fillId="35" borderId="15" xfId="0" applyFont="1" applyFill="1" applyBorder="1" applyAlignment="1">
      <alignment vertical="center"/>
    </xf>
    <xf numFmtId="0" fontId="51" fillId="35" borderId="0" xfId="0" applyFont="1" applyFill="1" applyBorder="1" applyAlignment="1">
      <alignment vertical="center"/>
    </xf>
    <xf numFmtId="44" fontId="50" fillId="33" borderId="22" xfId="45" applyFont="1" applyFill="1" applyBorder="1" applyAlignment="1">
      <alignment/>
    </xf>
    <xf numFmtId="8" fontId="46" fillId="33" borderId="10" xfId="60" applyNumberFormat="1" applyFont="1" applyFill="1" applyBorder="1" applyAlignment="1">
      <alignment/>
    </xf>
    <xf numFmtId="43" fontId="0" fillId="0" borderId="0" xfId="0" applyNumberFormat="1" applyAlignment="1">
      <alignment/>
    </xf>
    <xf numFmtId="44" fontId="0" fillId="0" borderId="0" xfId="0" applyNumberFormat="1" applyAlignment="1">
      <alignment/>
    </xf>
    <xf numFmtId="8" fontId="46" fillId="33" borderId="10" xfId="45" applyNumberFormat="1" applyFont="1" applyFill="1" applyBorder="1" applyAlignment="1">
      <alignment/>
    </xf>
    <xf numFmtId="10" fontId="0" fillId="0" borderId="0" xfId="0" applyNumberFormat="1" applyBorder="1" applyAlignment="1">
      <alignment horizontal="center"/>
    </xf>
    <xf numFmtId="44" fontId="46" fillId="34" borderId="27" xfId="45" applyFont="1" applyFill="1" applyBorder="1" applyAlignment="1">
      <alignment/>
    </xf>
    <xf numFmtId="0" fontId="52" fillId="36" borderId="22" xfId="0" applyFont="1" applyFill="1" applyBorder="1" applyAlignment="1">
      <alignment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27" fillId="37" borderId="11" xfId="0" applyFont="1" applyFill="1" applyBorder="1" applyAlignment="1">
      <alignment horizontal="center"/>
    </xf>
    <xf numFmtId="0" fontId="27" fillId="37" borderId="12" xfId="0" applyFont="1" applyFill="1" applyBorder="1" applyAlignment="1">
      <alignment horizontal="center"/>
    </xf>
    <xf numFmtId="0" fontId="27" fillId="37" borderId="13" xfId="0" applyFont="1" applyFill="1" applyBorder="1" applyAlignment="1">
      <alignment horizontal="center"/>
    </xf>
    <xf numFmtId="0" fontId="53" fillId="33" borderId="29" xfId="0" applyFont="1" applyFill="1" applyBorder="1" applyAlignment="1">
      <alignment horizontal="left" vertical="center"/>
    </xf>
    <xf numFmtId="0" fontId="53" fillId="33" borderId="30" xfId="0" applyFont="1" applyFill="1" applyBorder="1" applyAlignment="1">
      <alignment horizontal="left" vertical="center"/>
    </xf>
    <xf numFmtId="0" fontId="53" fillId="33" borderId="31" xfId="0" applyFont="1" applyFill="1" applyBorder="1" applyAlignment="1">
      <alignment horizontal="left" vertical="center"/>
    </xf>
    <xf numFmtId="0" fontId="27" fillId="37" borderId="29" xfId="0" applyFont="1" applyFill="1" applyBorder="1" applyAlignment="1">
      <alignment horizontal="center"/>
    </xf>
    <xf numFmtId="0" fontId="27" fillId="37" borderId="30" xfId="0" applyFont="1" applyFill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Potência SFCR x Custo/Wp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Simulador!$AD$8</c:f>
              <c:strCache>
                <c:ptCount val="1"/>
                <c:pt idx="0">
                  <c:v>X</c:v>
                </c:pt>
              </c:strCache>
            </c:strRef>
          </c:tx>
          <c:spPr>
            <a:ln w="127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63AAFE"/>
                </a:solidFill>
              </a:ln>
            </c:spPr>
          </c:marker>
          <c:xVal>
            <c:numRef>
              <c:f>Simulador!$AD$9:$AD$45</c:f>
            </c:numRef>
          </c:xVal>
          <c:yVal>
            <c:numRef>
              <c:f>Simulador!$AE$9:$AE$45</c:f>
            </c:numRef>
          </c:yVal>
          <c:smooth val="1"/>
        </c:ser>
        <c:axId val="46923465"/>
        <c:axId val="19658002"/>
      </c:scatterChart>
      <c:valAx>
        <c:axId val="469234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658002"/>
        <c:crosses val="autoZero"/>
        <c:crossBetween val="midCat"/>
        <c:dispUnits/>
      </c:valAx>
      <c:valAx>
        <c:axId val="196580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92346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Economia</a:t>
            </a:r>
          </a:p>
        </c:rich>
      </c:tx>
      <c:layout>
        <c:manualLayout>
          <c:xMode val="factor"/>
          <c:yMode val="factor"/>
          <c:x val="0.3902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"/>
          <c:w val="0.95975"/>
          <c:h val="0.99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(Simulador!$C$9,Simulador!$C$27)</c:f>
              <c:strCache/>
            </c:strRef>
          </c:cat>
          <c:val>
            <c:numRef>
              <c:f>(Simulador!$D$9,Simulador!$D$27)</c:f>
              <c:numCache/>
            </c:numRef>
          </c:val>
        </c:ser>
        <c:gapWidth val="75"/>
        <c:axId val="42704291"/>
        <c:axId val="48794300"/>
      </c:barChart>
      <c:catAx>
        <c:axId val="4270429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794300"/>
        <c:crosses val="autoZero"/>
        <c:auto val="1"/>
        <c:lblOffset val="100"/>
        <c:tickLblSkip val="1"/>
        <c:noMultiLvlLbl val="0"/>
      </c:catAx>
      <c:valAx>
        <c:axId val="4879430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7042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Projeção</a:t>
            </a:r>
          </a:p>
        </c:rich>
      </c:tx>
      <c:layout>
        <c:manualLayout>
          <c:xMode val="factor"/>
          <c:yMode val="factor"/>
          <c:x val="0.39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32675"/>
          <c:w val="0.94475"/>
          <c:h val="0.77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Simulador!$C$28:$C$30</c:f>
              <c:strCache/>
            </c:strRef>
          </c:cat>
          <c:val>
            <c:numRef>
              <c:f>Simulador!$D$28:$D$30</c:f>
              <c:numCache/>
            </c:numRef>
          </c:val>
        </c:ser>
        <c:overlap val="-25"/>
        <c:axId val="36495517"/>
        <c:axId val="60024198"/>
      </c:barChart>
      <c:catAx>
        <c:axId val="3649551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024198"/>
        <c:crosses val="autoZero"/>
        <c:auto val="1"/>
        <c:lblOffset val="100"/>
        <c:tickLblSkip val="1"/>
        <c:noMultiLvlLbl val="0"/>
      </c:catAx>
      <c:valAx>
        <c:axId val="60024198"/>
        <c:scaling>
          <c:orientation val="minMax"/>
        </c:scaling>
        <c:axPos val="l"/>
        <c:delete val="1"/>
        <c:majorTickMark val="out"/>
        <c:minorTickMark val="none"/>
        <c:tickLblPos val="nextTo"/>
        <c:crossAx val="364955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Relationship Id="rId5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11</xdr:row>
      <xdr:rowOff>95250</xdr:rowOff>
    </xdr:from>
    <xdr:to>
      <xdr:col>37</xdr:col>
      <xdr:colOff>0</xdr:colOff>
      <xdr:row>33</xdr:row>
      <xdr:rowOff>0</xdr:rowOff>
    </xdr:to>
    <xdr:graphicFrame>
      <xdr:nvGraphicFramePr>
        <xdr:cNvPr id="1" name="Gráfico 4"/>
        <xdr:cNvGraphicFramePr/>
      </xdr:nvGraphicFramePr>
      <xdr:xfrm>
        <a:off x="13182600" y="2552700"/>
        <a:ext cx="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8</xdr:row>
      <xdr:rowOff>0</xdr:rowOff>
    </xdr:from>
    <xdr:to>
      <xdr:col>16</xdr:col>
      <xdr:colOff>323850</xdr:colOff>
      <xdr:row>21</xdr:row>
      <xdr:rowOff>9525</xdr:rowOff>
    </xdr:to>
    <xdr:graphicFrame>
      <xdr:nvGraphicFramePr>
        <xdr:cNvPr id="2" name="Gráfico 2"/>
        <xdr:cNvGraphicFramePr/>
      </xdr:nvGraphicFramePr>
      <xdr:xfrm>
        <a:off x="4429125" y="1857375"/>
        <a:ext cx="4419600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21</xdr:row>
      <xdr:rowOff>28575</xdr:rowOff>
    </xdr:from>
    <xdr:to>
      <xdr:col>16</xdr:col>
      <xdr:colOff>314325</xdr:colOff>
      <xdr:row>33</xdr:row>
      <xdr:rowOff>0</xdr:rowOff>
    </xdr:to>
    <xdr:graphicFrame>
      <xdr:nvGraphicFramePr>
        <xdr:cNvPr id="3" name="Gráfico 7"/>
        <xdr:cNvGraphicFramePr/>
      </xdr:nvGraphicFramePr>
      <xdr:xfrm>
        <a:off x="4429125" y="3829050"/>
        <a:ext cx="441007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</xdr:col>
      <xdr:colOff>981075</xdr:colOff>
      <xdr:row>0</xdr:row>
      <xdr:rowOff>28575</xdr:rowOff>
    </xdr:from>
    <xdr:to>
      <xdr:col>2</xdr:col>
      <xdr:colOff>1743075</xdr:colOff>
      <xdr:row>3</xdr:row>
      <xdr:rowOff>152400</xdr:rowOff>
    </xdr:to>
    <xdr:pic>
      <xdr:nvPicPr>
        <xdr:cNvPr id="4" name="Imagem 5" descr="INTEGRADOR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9700" y="28575"/>
          <a:ext cx="762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0</xdr:row>
      <xdr:rowOff>19050</xdr:rowOff>
    </xdr:from>
    <xdr:to>
      <xdr:col>16</xdr:col>
      <xdr:colOff>28575</xdr:colOff>
      <xdr:row>3</xdr:row>
      <xdr:rowOff>161925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0" y="19050"/>
          <a:ext cx="1981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5"/>
  <sheetViews>
    <sheetView showGridLines="0" tabSelected="1" zoomScaleSheetLayoutView="100" zoomScalePageLayoutView="0" workbookViewId="0" topLeftCell="A1">
      <selection activeCell="D21" sqref="D21"/>
    </sheetView>
  </sheetViews>
  <sheetFormatPr defaultColWidth="9.140625" defaultRowHeight="15"/>
  <cols>
    <col min="1" max="1" width="3.140625" style="0" customWidth="1"/>
    <col min="2" max="2" width="3.28125" style="0" customWidth="1"/>
    <col min="3" max="3" width="28.8515625" style="0" customWidth="1"/>
    <col min="4" max="4" width="15.8515625" style="0" bestFit="1" customWidth="1"/>
    <col min="5" max="5" width="15.140625" style="0" customWidth="1"/>
    <col min="6" max="14" width="5.7109375" style="0" customWidth="1"/>
    <col min="15" max="15" width="4.421875" style="0" customWidth="1"/>
    <col min="16" max="17" width="5.7109375" style="0" customWidth="1"/>
    <col min="18" max="18" width="3.421875" style="0" customWidth="1"/>
    <col min="19" max="19" width="3.00390625" style="0" customWidth="1"/>
    <col min="20" max="26" width="5.7109375" style="0" customWidth="1"/>
    <col min="27" max="27" width="3.421875" style="0" customWidth="1"/>
    <col min="28" max="28" width="4.421875" style="0" customWidth="1"/>
    <col min="29" max="29" width="9.8515625" style="0" customWidth="1"/>
    <col min="30" max="41" width="0" style="0" hidden="1" customWidth="1"/>
  </cols>
  <sheetData>
    <row r="1" spans="4:10" ht="24" customHeight="1">
      <c r="D1" s="60" t="s">
        <v>38</v>
      </c>
      <c r="E1" s="61"/>
      <c r="F1" s="61"/>
      <c r="G1" s="61"/>
      <c r="H1" s="61"/>
      <c r="I1" s="61"/>
      <c r="J1" s="61"/>
    </row>
    <row r="2" spans="4:10" ht="15">
      <c r="D2" s="62"/>
      <c r="E2" s="63"/>
      <c r="F2" s="63"/>
      <c r="G2" s="63"/>
      <c r="H2" s="63"/>
      <c r="I2" s="63"/>
      <c r="J2" s="63"/>
    </row>
    <row r="3" spans="4:10" ht="15">
      <c r="D3" s="62"/>
      <c r="E3" s="63"/>
      <c r="F3" s="63"/>
      <c r="G3" s="63"/>
      <c r="H3" s="63"/>
      <c r="I3" s="63"/>
      <c r="J3" s="63"/>
    </row>
    <row r="4" spans="4:10" ht="15.75" thickBot="1">
      <c r="D4" s="64"/>
      <c r="E4" s="65"/>
      <c r="F4" s="65"/>
      <c r="G4" s="65"/>
      <c r="H4" s="65"/>
      <c r="I4" s="65"/>
      <c r="J4" s="65"/>
    </row>
    <row r="5" spans="2:27" ht="15" thickBot="1"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4"/>
      <c r="S5" s="6"/>
      <c r="T5" s="6"/>
      <c r="U5" s="6"/>
      <c r="V5" s="6"/>
      <c r="W5" s="6"/>
      <c r="X5" s="6"/>
      <c r="Y5" s="6"/>
      <c r="Z5" s="6"/>
      <c r="AA5" s="6"/>
    </row>
    <row r="6" spans="2:27" ht="36" customHeight="1" thickBot="1">
      <c r="B6" s="5"/>
      <c r="C6" s="70" t="s">
        <v>33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2"/>
      <c r="R6" s="50"/>
      <c r="S6" s="51"/>
      <c r="T6" s="6"/>
      <c r="U6" s="6"/>
      <c r="V6" s="6"/>
      <c r="W6" s="6"/>
      <c r="X6" s="6"/>
      <c r="Y6" s="6"/>
      <c r="Z6" s="6"/>
      <c r="AA6" s="6"/>
    </row>
    <row r="7" spans="2:27" ht="7.5" customHeight="1" thickBot="1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7"/>
      <c r="S7" s="6"/>
      <c r="T7" s="6"/>
      <c r="U7" s="6"/>
      <c r="V7" s="6"/>
      <c r="W7" s="6"/>
      <c r="X7" s="6"/>
      <c r="Y7" s="6"/>
      <c r="Z7" s="6"/>
      <c r="AA7" s="6"/>
    </row>
    <row r="8" spans="2:31" ht="18" thickBot="1">
      <c r="B8" s="5"/>
      <c r="C8" s="73" t="s">
        <v>22</v>
      </c>
      <c r="D8" s="74"/>
      <c r="E8" s="74"/>
      <c r="F8" s="67" t="s">
        <v>27</v>
      </c>
      <c r="G8" s="68"/>
      <c r="H8" s="68"/>
      <c r="I8" s="68"/>
      <c r="J8" s="68"/>
      <c r="K8" s="68"/>
      <c r="L8" s="68"/>
      <c r="M8" s="68"/>
      <c r="N8" s="68"/>
      <c r="O8" s="68"/>
      <c r="P8" s="68"/>
      <c r="Q8" s="69"/>
      <c r="R8" s="49"/>
      <c r="S8" s="28"/>
      <c r="T8" s="6"/>
      <c r="U8" s="6"/>
      <c r="V8" s="6"/>
      <c r="W8" s="6"/>
      <c r="X8" s="6"/>
      <c r="Y8" s="6"/>
      <c r="Z8" s="6"/>
      <c r="AA8" s="6"/>
      <c r="AD8" s="15" t="s">
        <v>20</v>
      </c>
      <c r="AE8" s="15" t="s">
        <v>21</v>
      </c>
    </row>
    <row r="9" spans="1:31" ht="14.25">
      <c r="A9" s="29" t="s">
        <v>23</v>
      </c>
      <c r="B9" s="5"/>
      <c r="C9" s="17" t="s">
        <v>24</v>
      </c>
      <c r="D9" s="58">
        <v>12000</v>
      </c>
      <c r="E9" s="59" t="s">
        <v>35</v>
      </c>
      <c r="F9" s="25"/>
      <c r="G9" s="26"/>
      <c r="H9" s="26"/>
      <c r="I9" s="26"/>
      <c r="J9" s="26"/>
      <c r="K9" s="26"/>
      <c r="L9" s="3"/>
      <c r="M9" s="26"/>
      <c r="N9" s="3"/>
      <c r="O9" s="3"/>
      <c r="P9" s="3"/>
      <c r="Q9" s="4"/>
      <c r="R9" s="7"/>
      <c r="S9" s="6"/>
      <c r="T9" s="6"/>
      <c r="U9" s="6"/>
      <c r="V9" s="6"/>
      <c r="W9" s="6"/>
      <c r="X9" s="6"/>
      <c r="Y9" s="6"/>
      <c r="Z9" s="6"/>
      <c r="AA9" s="6"/>
      <c r="AD9" s="15">
        <v>1.5</v>
      </c>
      <c r="AE9" s="15">
        <f>7.392+12.99*EXP(-0.7655*AD9)</f>
        <v>11.51231588147156</v>
      </c>
    </row>
    <row r="10" spans="2:31" ht="15" thickBot="1">
      <c r="B10" s="5"/>
      <c r="C10" s="5"/>
      <c r="D10" s="8"/>
      <c r="E10" s="9"/>
      <c r="F10" s="5"/>
      <c r="G10" s="6"/>
      <c r="H10" s="6"/>
      <c r="I10" s="6"/>
      <c r="J10" s="75"/>
      <c r="K10" s="75"/>
      <c r="L10" s="75"/>
      <c r="M10" s="6"/>
      <c r="N10" s="6"/>
      <c r="O10" s="6"/>
      <c r="P10" s="6"/>
      <c r="Q10" s="7"/>
      <c r="R10" s="7"/>
      <c r="S10" s="6"/>
      <c r="T10" s="6"/>
      <c r="U10" s="6"/>
      <c r="V10" s="6"/>
      <c r="W10" s="6"/>
      <c r="X10" s="6"/>
      <c r="Y10" s="6"/>
      <c r="Z10" s="6"/>
      <c r="AA10" s="6"/>
      <c r="AD10" s="15">
        <v>2</v>
      </c>
      <c r="AE10" s="15">
        <f aca="true" t="shared" si="0" ref="AE10:AE45">7.392+12.99*EXP(-0.7655*AD10)</f>
        <v>10.201986926046974</v>
      </c>
    </row>
    <row r="11" spans="2:31" ht="18" thickBot="1">
      <c r="B11" s="5"/>
      <c r="C11" s="67" t="s">
        <v>7</v>
      </c>
      <c r="D11" s="68"/>
      <c r="E11" s="68"/>
      <c r="F11" s="5"/>
      <c r="G11" s="6"/>
      <c r="H11" s="6"/>
      <c r="I11" s="6"/>
      <c r="J11" s="6"/>
      <c r="K11" s="6"/>
      <c r="L11" s="6"/>
      <c r="M11" s="6"/>
      <c r="N11" s="6"/>
      <c r="O11" s="6"/>
      <c r="P11" s="6"/>
      <c r="Q11" s="7"/>
      <c r="R11" s="7"/>
      <c r="S11" s="6"/>
      <c r="T11" s="6"/>
      <c r="U11" s="6"/>
      <c r="V11" s="6"/>
      <c r="W11" s="6"/>
      <c r="X11" s="6"/>
      <c r="Y11" s="6"/>
      <c r="Z11" s="6"/>
      <c r="AA11" s="6"/>
      <c r="AD11" s="15"/>
      <c r="AE11" s="15"/>
    </row>
    <row r="12" spans="2:31" ht="14.25">
      <c r="B12" s="5"/>
      <c r="C12" s="16" t="s">
        <v>15</v>
      </c>
      <c r="D12" s="58">
        <v>0.47</v>
      </c>
      <c r="E12" s="19" t="s">
        <v>34</v>
      </c>
      <c r="F12" s="5"/>
      <c r="G12" s="27"/>
      <c r="H12" s="6"/>
      <c r="I12" s="6"/>
      <c r="J12" s="6"/>
      <c r="K12" s="6"/>
      <c r="L12" s="6"/>
      <c r="M12" s="6"/>
      <c r="N12" s="6"/>
      <c r="O12" s="6"/>
      <c r="P12" s="6"/>
      <c r="Q12" s="7"/>
      <c r="R12" s="7"/>
      <c r="S12" s="6"/>
      <c r="T12" s="6"/>
      <c r="U12" s="6"/>
      <c r="V12" s="6"/>
      <c r="W12" s="6"/>
      <c r="X12" s="6"/>
      <c r="Y12" s="6"/>
      <c r="Z12" s="6"/>
      <c r="AA12" s="6"/>
      <c r="AD12" s="15">
        <v>2.5</v>
      </c>
      <c r="AE12" s="15">
        <f t="shared" si="0"/>
        <v>9.308364364213473</v>
      </c>
    </row>
    <row r="13" spans="2:31" ht="14.25" hidden="1">
      <c r="B13" s="5"/>
      <c r="C13" s="17" t="s">
        <v>16</v>
      </c>
      <c r="D13" s="23">
        <f>4.9*0.75</f>
        <v>3.6750000000000003</v>
      </c>
      <c r="E13" s="19" t="s">
        <v>19</v>
      </c>
      <c r="F13" s="5"/>
      <c r="G13" s="6"/>
      <c r="H13" s="6"/>
      <c r="I13" s="6"/>
      <c r="J13" s="6"/>
      <c r="K13" s="6"/>
      <c r="L13" s="6"/>
      <c r="M13" s="6"/>
      <c r="N13" s="6"/>
      <c r="O13" s="6"/>
      <c r="P13" s="6"/>
      <c r="Q13" s="7"/>
      <c r="R13" s="7"/>
      <c r="S13" s="6"/>
      <c r="T13" s="6"/>
      <c r="U13" s="6"/>
      <c r="V13" s="6"/>
      <c r="W13" s="6"/>
      <c r="X13" s="6"/>
      <c r="Y13" s="6"/>
      <c r="Z13" s="6"/>
      <c r="AA13" s="6"/>
      <c r="AD13" s="15">
        <v>3</v>
      </c>
      <c r="AE13" s="15">
        <f t="shared" si="0"/>
        <v>8.698928634573269</v>
      </c>
    </row>
    <row r="14" spans="2:31" ht="14.25" hidden="1">
      <c r="B14" s="5"/>
      <c r="C14" s="17" t="s">
        <v>17</v>
      </c>
      <c r="D14" s="23">
        <v>310</v>
      </c>
      <c r="E14" s="19" t="s">
        <v>4</v>
      </c>
      <c r="F14" s="5"/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  <c r="R14" s="7"/>
      <c r="S14" s="6"/>
      <c r="T14" s="6"/>
      <c r="U14" s="6"/>
      <c r="V14" s="6"/>
      <c r="W14" s="6"/>
      <c r="X14" s="6"/>
      <c r="Y14" s="6"/>
      <c r="Z14" s="6"/>
      <c r="AA14" s="6"/>
      <c r="AB14" s="6"/>
      <c r="AD14" s="15">
        <v>10</v>
      </c>
      <c r="AE14" s="15">
        <f>7.392+12.99*EXP(-0.7655*AD14)</f>
        <v>7.398152971338816</v>
      </c>
    </row>
    <row r="15" spans="2:31" ht="14.25" hidden="1">
      <c r="B15" s="5"/>
      <c r="C15" s="17" t="s">
        <v>18</v>
      </c>
      <c r="D15" s="23">
        <v>50</v>
      </c>
      <c r="E15" s="19" t="s">
        <v>5</v>
      </c>
      <c r="F15" s="5"/>
      <c r="G15" s="6"/>
      <c r="H15" s="6"/>
      <c r="I15" s="6"/>
      <c r="J15" s="6"/>
      <c r="K15" s="6"/>
      <c r="L15" s="6"/>
      <c r="M15" s="6"/>
      <c r="N15" s="6"/>
      <c r="O15" s="6"/>
      <c r="P15" s="6"/>
      <c r="Q15" s="7"/>
      <c r="R15" s="7"/>
      <c r="S15" s="6"/>
      <c r="T15" s="6"/>
      <c r="U15" s="6"/>
      <c r="V15" s="6"/>
      <c r="W15" s="6"/>
      <c r="X15" s="6"/>
      <c r="Y15" s="6"/>
      <c r="Z15" s="6"/>
      <c r="AA15" s="6"/>
      <c r="AB15" s="6"/>
      <c r="AD15" s="15">
        <v>10.5</v>
      </c>
      <c r="AE15" s="15">
        <f>7.392+12.99*EXP(-0.7655*AD15)</f>
        <v>7.396196224152659</v>
      </c>
    </row>
    <row r="16" spans="2:31" ht="15" thickBot="1">
      <c r="B16" s="5"/>
      <c r="C16" s="18" t="s">
        <v>25</v>
      </c>
      <c r="D16" s="24">
        <v>10</v>
      </c>
      <c r="E16" s="48" t="s">
        <v>26</v>
      </c>
      <c r="F16" s="30"/>
      <c r="G16" s="6"/>
      <c r="H16" s="6"/>
      <c r="I16" s="6"/>
      <c r="J16" s="6"/>
      <c r="K16" s="6"/>
      <c r="L16" s="6"/>
      <c r="M16" s="6"/>
      <c r="N16" s="6"/>
      <c r="O16" s="6"/>
      <c r="P16" s="6"/>
      <c r="Q16" s="7"/>
      <c r="R16" s="7"/>
      <c r="S16" s="6"/>
      <c r="T16" s="6"/>
      <c r="U16" s="6"/>
      <c r="V16" s="6"/>
      <c r="W16" s="6"/>
      <c r="X16" s="6"/>
      <c r="Y16" s="6"/>
      <c r="Z16" s="6"/>
      <c r="AA16" s="6"/>
      <c r="AB16" s="6"/>
      <c r="AD16" s="15">
        <v>11</v>
      </c>
      <c r="AE16" s="15">
        <f>7.392+12.99*EXP(-0.7655*AD16)</f>
        <v>7.394861755104932</v>
      </c>
    </row>
    <row r="17" spans="2:31" ht="15" thickBot="1">
      <c r="B17" s="5"/>
      <c r="C17" s="33"/>
      <c r="D17" s="34">
        <v>2</v>
      </c>
      <c r="E17" s="35"/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7"/>
      <c r="R17" s="7"/>
      <c r="S17" s="6"/>
      <c r="T17" s="6"/>
      <c r="U17" s="6"/>
      <c r="V17" s="6"/>
      <c r="W17" s="6"/>
      <c r="X17" s="6"/>
      <c r="Y17" s="6"/>
      <c r="Z17" s="6"/>
      <c r="AA17" s="6"/>
      <c r="AB17" s="6"/>
      <c r="AD17" s="15">
        <v>11.5</v>
      </c>
      <c r="AE17" s="15">
        <f>7.392+12.99*EXP(-0.7655*AD17)</f>
        <v>7.393951669401506</v>
      </c>
    </row>
    <row r="18" spans="2:31" ht="18" thickBot="1">
      <c r="B18" s="5"/>
      <c r="C18" s="73" t="s">
        <v>6</v>
      </c>
      <c r="D18" s="74"/>
      <c r="E18" s="74"/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7"/>
      <c r="R18" s="7"/>
      <c r="S18" s="6"/>
      <c r="T18" s="6"/>
      <c r="U18" s="6"/>
      <c r="V18" s="6"/>
      <c r="W18" s="6"/>
      <c r="X18" s="6"/>
      <c r="Y18" s="6"/>
      <c r="Z18" s="6"/>
      <c r="AA18" s="6"/>
      <c r="AB18" s="6"/>
      <c r="AD18" s="15">
        <v>12</v>
      </c>
      <c r="AE18" s="15">
        <f>7.392+12.99*EXP(-0.7655*AD18)</f>
        <v>7.393331006083019</v>
      </c>
    </row>
    <row r="19" spans="2:31" ht="14.25">
      <c r="B19" s="5"/>
      <c r="C19" s="16" t="s">
        <v>8</v>
      </c>
      <c r="D19" s="39">
        <f>ROUNDUP(IF(D9&gt;126.96,(((D9-D15*D12)*1000)/(30*D13*D12*D14)),5),0)</f>
        <v>746</v>
      </c>
      <c r="E19" s="44" t="s">
        <v>1</v>
      </c>
      <c r="F19" s="5"/>
      <c r="G19" s="6"/>
      <c r="H19" s="6"/>
      <c r="I19" s="6"/>
      <c r="J19" s="6"/>
      <c r="K19" s="6"/>
      <c r="L19" s="6"/>
      <c r="M19" s="6"/>
      <c r="N19" s="6"/>
      <c r="O19" s="6"/>
      <c r="P19" s="6"/>
      <c r="Q19" s="7"/>
      <c r="R19" s="7"/>
      <c r="S19" s="6"/>
      <c r="T19" s="6"/>
      <c r="U19" s="6"/>
      <c r="V19" s="6"/>
      <c r="W19" s="6"/>
      <c r="X19" s="6"/>
      <c r="Y19" s="6"/>
      <c r="Z19" s="6"/>
      <c r="AA19" s="6"/>
      <c r="AB19" s="6"/>
      <c r="AD19" s="15"/>
      <c r="AE19" s="15"/>
    </row>
    <row r="20" spans="2:31" s="31" customFormat="1" ht="14.25">
      <c r="B20" s="32"/>
      <c r="C20" s="17" t="s">
        <v>10</v>
      </c>
      <c r="D20" s="21">
        <f>(D19*D14)/1000</f>
        <v>231.26</v>
      </c>
      <c r="E20" s="19" t="s">
        <v>0</v>
      </c>
      <c r="F20" s="32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7"/>
      <c r="R20" s="37"/>
      <c r="S20" s="36"/>
      <c r="T20" s="36"/>
      <c r="U20" s="36"/>
      <c r="V20" s="36"/>
      <c r="W20" s="36"/>
      <c r="X20" s="36"/>
      <c r="Y20" s="36"/>
      <c r="Z20" s="36"/>
      <c r="AA20" s="36"/>
      <c r="AB20" s="36"/>
      <c r="AD20" s="38"/>
      <c r="AE20" s="38"/>
    </row>
    <row r="21" spans="2:31" ht="15" thickBot="1">
      <c r="B21" s="5"/>
      <c r="C21" s="17" t="s">
        <v>9</v>
      </c>
      <c r="D21" s="1">
        <f>D19*2</f>
        <v>1492</v>
      </c>
      <c r="E21" s="19" t="s">
        <v>3</v>
      </c>
      <c r="F21" s="5"/>
      <c r="G21" s="76"/>
      <c r="H21" s="76"/>
      <c r="I21" s="6"/>
      <c r="J21" s="6"/>
      <c r="K21" s="77"/>
      <c r="L21" s="77"/>
      <c r="M21" s="6"/>
      <c r="N21" s="57"/>
      <c r="O21" s="6"/>
      <c r="P21" s="6"/>
      <c r="Q21" s="7"/>
      <c r="R21" s="7"/>
      <c r="S21" s="6"/>
      <c r="T21" s="6"/>
      <c r="U21" s="6"/>
      <c r="V21" s="6"/>
      <c r="W21" s="6"/>
      <c r="X21" s="6"/>
      <c r="Y21" s="6"/>
      <c r="Z21" s="6"/>
      <c r="AA21" s="6"/>
      <c r="AD21" s="15">
        <v>4</v>
      </c>
      <c r="AE21" s="15">
        <f t="shared" si="0"/>
        <v>7.999854235916469</v>
      </c>
    </row>
    <row r="22" spans="2:31" ht="14.25">
      <c r="B22" s="5"/>
      <c r="C22" s="17" t="s">
        <v>11</v>
      </c>
      <c r="D22" s="21">
        <f>D20*30*D13</f>
        <v>25496.415</v>
      </c>
      <c r="E22" s="19" t="s">
        <v>2</v>
      </c>
      <c r="F22" s="2"/>
      <c r="G22" s="3"/>
      <c r="H22" s="3"/>
      <c r="I22" s="3"/>
      <c r="J22" s="3"/>
      <c r="K22" s="3"/>
      <c r="L22" s="3"/>
      <c r="M22" s="3"/>
      <c r="N22" s="3"/>
      <c r="O22" s="3"/>
      <c r="P22" s="3"/>
      <c r="Q22" s="4"/>
      <c r="R22" s="7"/>
      <c r="S22" s="6"/>
      <c r="T22" s="6"/>
      <c r="U22" s="6"/>
      <c r="V22" s="6"/>
      <c r="W22" s="6"/>
      <c r="X22" s="6"/>
      <c r="Y22" s="6"/>
      <c r="Z22" s="6"/>
      <c r="AA22" s="6"/>
      <c r="AD22" s="15">
        <v>4.5</v>
      </c>
      <c r="AE22" s="15">
        <f t="shared" si="0"/>
        <v>7.80654648260063</v>
      </c>
    </row>
    <row r="23" spans="2:31" ht="15" thickBot="1">
      <c r="B23" s="5"/>
      <c r="C23" s="18" t="s">
        <v>12</v>
      </c>
      <c r="D23" s="40">
        <f>$D$20*(7.392+12.99*EXP(-0.7655*$D$20))*1000</f>
        <v>1709473.92</v>
      </c>
      <c r="E23" s="45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7"/>
      <c r="R23" s="7"/>
      <c r="S23" s="6"/>
      <c r="T23" s="6"/>
      <c r="U23" s="6"/>
      <c r="V23" s="6"/>
      <c r="W23" s="6"/>
      <c r="X23" s="6"/>
      <c r="Y23" s="6"/>
      <c r="Z23" s="6"/>
      <c r="AA23" s="6"/>
      <c r="AD23" s="15">
        <v>5.5</v>
      </c>
      <c r="AE23" s="15">
        <f>7.392+12.99*EXP(-0.7655*AD23)</f>
        <v>7.584806117156766</v>
      </c>
    </row>
    <row r="24" spans="2:31" ht="15" thickBot="1">
      <c r="B24" s="5"/>
      <c r="C24" s="41"/>
      <c r="D24" s="42"/>
      <c r="E24" s="43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7"/>
      <c r="R24" s="7"/>
      <c r="S24" s="6"/>
      <c r="T24" s="6"/>
      <c r="U24" s="6"/>
      <c r="V24" s="6"/>
      <c r="W24" s="6"/>
      <c r="X24" s="6"/>
      <c r="Y24" s="6"/>
      <c r="Z24" s="6"/>
      <c r="AA24" s="6"/>
      <c r="AD24" s="15">
        <v>5</v>
      </c>
      <c r="AE24" s="15">
        <f>7.392+12.99*EXP(-0.7655*AD24)</f>
        <v>7.674713808808877</v>
      </c>
    </row>
    <row r="25" spans="2:31" ht="14.25">
      <c r="B25" s="5"/>
      <c r="C25" s="16" t="s">
        <v>13</v>
      </c>
      <c r="D25" s="47">
        <f>D22*D12/D9*100</f>
        <v>99.86095875</v>
      </c>
      <c r="E25" s="46" t="s">
        <v>26</v>
      </c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7"/>
      <c r="R25" s="7"/>
      <c r="S25" s="6"/>
      <c r="T25" s="6"/>
      <c r="U25" s="6"/>
      <c r="V25" s="6"/>
      <c r="W25" s="6"/>
      <c r="X25" s="6"/>
      <c r="Y25" s="6"/>
      <c r="Z25" s="6"/>
      <c r="AA25" s="6"/>
      <c r="AD25" s="15">
        <v>6.5</v>
      </c>
      <c r="AE25" s="15">
        <f>7.392+12.99*EXP(-0.7655*AD25)</f>
        <v>7.48167438001128</v>
      </c>
    </row>
    <row r="26" spans="2:31" ht="14.25">
      <c r="B26" s="5"/>
      <c r="C26" s="17" t="s">
        <v>14</v>
      </c>
      <c r="D26" s="22">
        <f>D22*D12</f>
        <v>11983.31505</v>
      </c>
      <c r="E26" s="20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7"/>
      <c r="R26" s="7"/>
      <c r="S26" s="6"/>
      <c r="T26" s="6"/>
      <c r="U26" s="6"/>
      <c r="V26" s="6"/>
      <c r="W26" s="6"/>
      <c r="X26" s="6"/>
      <c r="Y26" s="6"/>
      <c r="Z26" s="6"/>
      <c r="AA26" s="6"/>
      <c r="AD26" s="15">
        <v>7</v>
      </c>
      <c r="AE26" s="15">
        <f>7.392+12.99*EXP(-0.7655*AD26)</f>
        <v>7.453156436225242</v>
      </c>
    </row>
    <row r="27" spans="2:31" s="31" customFormat="1" ht="14.25">
      <c r="B27" s="32"/>
      <c r="C27" s="17" t="s">
        <v>36</v>
      </c>
      <c r="D27" s="22">
        <f>IF((D9-D26)&lt;D12*D15,D12*D15,D9-D26)</f>
        <v>23.5</v>
      </c>
      <c r="E27" s="20"/>
      <c r="F27" s="32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7"/>
      <c r="R27" s="37"/>
      <c r="S27" s="36"/>
      <c r="T27" s="36"/>
      <c r="U27" s="36"/>
      <c r="V27" s="36"/>
      <c r="W27" s="36"/>
      <c r="X27" s="36"/>
      <c r="Y27" s="36"/>
      <c r="Z27" s="36"/>
      <c r="AA27" s="36"/>
      <c r="AD27" s="38"/>
      <c r="AE27" s="38"/>
    </row>
    <row r="28" spans="2:31" ht="14.25">
      <c r="B28" s="5"/>
      <c r="C28" s="17" t="s">
        <v>29</v>
      </c>
      <c r="D28" s="53">
        <f>SUMPRODUCT(Plan1!D6:D30,Plan1!F6:F30)</f>
        <v>14161976.558479276</v>
      </c>
      <c r="E28" s="52"/>
      <c r="F28" s="5"/>
      <c r="G28" s="6"/>
      <c r="H28" s="6"/>
      <c r="I28" s="10"/>
      <c r="J28" s="10"/>
      <c r="K28" s="10"/>
      <c r="L28" s="10"/>
      <c r="M28" s="10"/>
      <c r="N28" s="10"/>
      <c r="O28" s="10"/>
      <c r="P28" s="10"/>
      <c r="Q28" s="11"/>
      <c r="R28" s="11"/>
      <c r="S28" s="10"/>
      <c r="T28" s="6"/>
      <c r="U28" s="6"/>
      <c r="V28" s="6"/>
      <c r="W28" s="6"/>
      <c r="X28" s="6"/>
      <c r="Y28" s="6"/>
      <c r="Z28" s="6"/>
      <c r="AA28" s="6"/>
      <c r="AD28" s="15">
        <v>7.5</v>
      </c>
      <c r="AE28" s="15">
        <f>7.392+12.99*EXP(-0.7655*AD28)</f>
        <v>7.433707672707651</v>
      </c>
    </row>
    <row r="29" spans="2:31" ht="14.25">
      <c r="B29" s="5"/>
      <c r="C29" s="17" t="s">
        <v>30</v>
      </c>
      <c r="D29" s="22">
        <f>SUMPRODUCT(Plan1!E6:E30,Plan1!F6:F30)</f>
        <v>27733.870760355243</v>
      </c>
      <c r="E29" s="20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7"/>
      <c r="R29" s="7"/>
      <c r="S29" s="6"/>
      <c r="T29" s="6"/>
      <c r="U29" s="6"/>
      <c r="V29" s="6"/>
      <c r="W29" s="6"/>
      <c r="X29" s="6"/>
      <c r="Y29" s="6"/>
      <c r="Z29" s="6"/>
      <c r="AA29" s="6"/>
      <c r="AD29" s="15">
        <v>8.5</v>
      </c>
      <c r="AE29" s="15">
        <f t="shared" si="0"/>
        <v>7.411398293720791</v>
      </c>
    </row>
    <row r="30" spans="2:31" ht="15" thickBot="1">
      <c r="B30" s="5"/>
      <c r="C30" s="18" t="s">
        <v>28</v>
      </c>
      <c r="D30" s="56">
        <f>D28-D29</f>
        <v>14134242.68771892</v>
      </c>
      <c r="E30" s="20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7"/>
      <c r="R30" s="7"/>
      <c r="S30" s="6"/>
      <c r="T30" s="6"/>
      <c r="U30" s="6"/>
      <c r="V30" s="6"/>
      <c r="W30" s="6"/>
      <c r="X30" s="6"/>
      <c r="Y30" s="6"/>
      <c r="Z30" s="6"/>
      <c r="AA30" s="6"/>
      <c r="AB30" s="6"/>
      <c r="AD30" s="15">
        <v>9</v>
      </c>
      <c r="AE30" s="15">
        <f t="shared" si="0"/>
        <v>7.405229313798041</v>
      </c>
    </row>
    <row r="31" spans="2:31" ht="14.25">
      <c r="B31" s="5"/>
      <c r="C31" s="6"/>
      <c r="D31" s="6"/>
      <c r="E31" s="6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7"/>
      <c r="R31" s="7"/>
      <c r="S31" s="6"/>
      <c r="T31" s="6"/>
      <c r="U31" s="6"/>
      <c r="V31" s="6"/>
      <c r="W31" s="6"/>
      <c r="X31" s="6"/>
      <c r="Y31" s="6"/>
      <c r="Z31" s="6"/>
      <c r="AA31" s="6"/>
      <c r="AB31" s="6"/>
      <c r="AD31" s="15"/>
      <c r="AE31" s="15"/>
    </row>
    <row r="32" spans="2:31" ht="23.25" customHeight="1">
      <c r="B32" s="5"/>
      <c r="C32" s="63" t="s">
        <v>37</v>
      </c>
      <c r="D32" s="63"/>
      <c r="E32" s="6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7"/>
      <c r="R32" s="7"/>
      <c r="S32" s="6"/>
      <c r="T32" s="6"/>
      <c r="U32" s="6"/>
      <c r="V32" s="6"/>
      <c r="W32" s="6"/>
      <c r="X32" s="6"/>
      <c r="Y32" s="6"/>
      <c r="Z32" s="6"/>
      <c r="AA32" s="6"/>
      <c r="AB32" s="6"/>
      <c r="AD32" s="15"/>
      <c r="AE32" s="15"/>
    </row>
    <row r="33" spans="2:31" ht="15" thickBot="1">
      <c r="B33" s="5"/>
      <c r="C33" s="63"/>
      <c r="D33" s="63"/>
      <c r="E33" s="66"/>
      <c r="F33" s="12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4"/>
      <c r="R33" s="7"/>
      <c r="S33" s="6"/>
      <c r="T33" s="6"/>
      <c r="U33" s="6"/>
      <c r="V33" s="6"/>
      <c r="W33" s="6"/>
      <c r="X33" s="6"/>
      <c r="Y33" s="6"/>
      <c r="Z33" s="6"/>
      <c r="AA33" s="6"/>
      <c r="AB33" s="6"/>
      <c r="AD33" s="15">
        <v>9.5</v>
      </c>
      <c r="AE33" s="15">
        <f t="shared" si="0"/>
        <v>7.401022172057302</v>
      </c>
    </row>
    <row r="34" spans="2:31" ht="15" thickBot="1"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4"/>
      <c r="S34" s="6"/>
      <c r="T34" s="6"/>
      <c r="U34" s="6"/>
      <c r="V34" s="6"/>
      <c r="W34" s="6"/>
      <c r="X34" s="6"/>
      <c r="Y34" s="6"/>
      <c r="Z34" s="6"/>
      <c r="AA34" s="6"/>
      <c r="AB34" s="6"/>
      <c r="AD34" s="15">
        <v>14.5</v>
      </c>
      <c r="AE34" s="15">
        <f t="shared" si="0"/>
        <v>7.392196358169827</v>
      </c>
    </row>
    <row r="35" spans="2:31" ht="14.25">
      <c r="B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D35" s="15">
        <v>15</v>
      </c>
      <c r="AE35" s="15">
        <f t="shared" si="0"/>
        <v>7.392133913007136</v>
      </c>
    </row>
    <row r="36" spans="20:31" ht="14.25">
      <c r="T36" s="6"/>
      <c r="U36" s="6"/>
      <c r="V36" s="6"/>
      <c r="W36" s="6"/>
      <c r="X36" s="6"/>
      <c r="Y36" s="6"/>
      <c r="Z36" s="6"/>
      <c r="AA36" s="6"/>
      <c r="AB36" s="6"/>
      <c r="AD36" s="15">
        <v>15.5</v>
      </c>
      <c r="AE36" s="15">
        <f t="shared" si="0"/>
        <v>7.392091326444405</v>
      </c>
    </row>
    <row r="37" spans="30:31" ht="14.25">
      <c r="AD37" s="15">
        <v>16</v>
      </c>
      <c r="AE37" s="15">
        <f t="shared" si="0"/>
        <v>7.392062283116674</v>
      </c>
    </row>
    <row r="38" spans="30:31" ht="14.25">
      <c r="AD38" s="15">
        <v>16.5</v>
      </c>
      <c r="AE38" s="15">
        <f t="shared" si="0"/>
        <v>7.392042476050041</v>
      </c>
    </row>
    <row r="39" spans="30:31" ht="14.25">
      <c r="AD39" s="15">
        <v>17</v>
      </c>
      <c r="AE39" s="15">
        <f t="shared" si="0"/>
        <v>7.392028967959914</v>
      </c>
    </row>
    <row r="40" spans="30:31" ht="14.25">
      <c r="AD40" s="15">
        <v>17.5</v>
      </c>
      <c r="AE40" s="15">
        <f t="shared" si="0"/>
        <v>7.392019755667035</v>
      </c>
    </row>
    <row r="41" spans="30:31" ht="14.25">
      <c r="AD41" s="15">
        <v>18</v>
      </c>
      <c r="AE41" s="15">
        <f t="shared" si="0"/>
        <v>7.392013473036457</v>
      </c>
    </row>
    <row r="42" spans="30:31" ht="14.25">
      <c r="AD42" s="15">
        <v>18.5</v>
      </c>
      <c r="AE42" s="15">
        <f t="shared" si="0"/>
        <v>7.392009188386859</v>
      </c>
    </row>
    <row r="43" spans="30:31" ht="14.25">
      <c r="AD43" s="15">
        <v>19</v>
      </c>
      <c r="AE43" s="15">
        <f t="shared" si="0"/>
        <v>7.39200626632707</v>
      </c>
    </row>
    <row r="44" spans="30:31" ht="14.25">
      <c r="AD44" s="15">
        <v>19.5</v>
      </c>
      <c r="AE44" s="15">
        <f t="shared" si="0"/>
        <v>7.392004273530876</v>
      </c>
    </row>
    <row r="45" spans="30:31" ht="14.25">
      <c r="AD45" s="15">
        <v>20</v>
      </c>
      <c r="AE45" s="15">
        <f t="shared" si="0"/>
        <v>7.392002914477006</v>
      </c>
    </row>
  </sheetData>
  <sheetProtection/>
  <mergeCells count="10">
    <mergeCell ref="D1:J4"/>
    <mergeCell ref="C32:E33"/>
    <mergeCell ref="F8:Q8"/>
    <mergeCell ref="C6:Q6"/>
    <mergeCell ref="C11:E11"/>
    <mergeCell ref="C8:E8"/>
    <mergeCell ref="C18:E18"/>
    <mergeCell ref="J10:L10"/>
    <mergeCell ref="G21:H21"/>
    <mergeCell ref="K21:L21"/>
  </mergeCells>
  <printOptions/>
  <pageMargins left="0.25" right="0.25" top="0.75" bottom="0.75" header="0.3" footer="0.3"/>
  <pageSetup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F30"/>
  <sheetViews>
    <sheetView zoomScalePageLayoutView="0" workbookViewId="0" topLeftCell="A1">
      <selection activeCell="I14" sqref="I14"/>
    </sheetView>
  </sheetViews>
  <sheetFormatPr defaultColWidth="9.140625" defaultRowHeight="15"/>
  <cols>
    <col min="4" max="4" width="10.8515625" style="0" bestFit="1" customWidth="1"/>
    <col min="5" max="5" width="11.8515625" style="0" bestFit="1" customWidth="1"/>
    <col min="6" max="6" width="9.28125" style="0" bestFit="1" customWidth="1"/>
  </cols>
  <sheetData>
    <row r="5" spans="4:5" ht="14.25">
      <c r="D5" t="s">
        <v>31</v>
      </c>
      <c r="E5" t="s">
        <v>32</v>
      </c>
    </row>
    <row r="6" spans="3:6" ht="14.25">
      <c r="C6">
        <v>1</v>
      </c>
      <c r="D6" s="54">
        <f>Simulador!D9</f>
        <v>12000</v>
      </c>
      <c r="E6" s="55">
        <f>Simulador!D27</f>
        <v>23.5</v>
      </c>
      <c r="F6">
        <v>12</v>
      </c>
    </row>
    <row r="7" spans="3:6" ht="14.25">
      <c r="C7">
        <v>2</v>
      </c>
      <c r="D7" s="54">
        <f>D6*(1+(Simulador!$D$16/100))</f>
        <v>13200.000000000002</v>
      </c>
      <c r="E7" s="55">
        <f>E6*(1+(Simulador!$D$16/100))</f>
        <v>25.85</v>
      </c>
      <c r="F7">
        <v>12</v>
      </c>
    </row>
    <row r="8" spans="3:6" ht="14.25">
      <c r="C8">
        <v>3</v>
      </c>
      <c r="D8" s="54">
        <f>D7*(1+(Simulador!$D$16/100))</f>
        <v>14520.000000000004</v>
      </c>
      <c r="E8" s="55">
        <f>E7*(1+(Simulador!$D$16/100))</f>
        <v>28.435000000000002</v>
      </c>
      <c r="F8">
        <v>12</v>
      </c>
    </row>
    <row r="9" spans="3:6" ht="14.25">
      <c r="C9">
        <v>4</v>
      </c>
      <c r="D9" s="54">
        <f>D8*(1+(Simulador!$D$16/100))</f>
        <v>15972.000000000005</v>
      </c>
      <c r="E9" s="55">
        <f>E8*(1+(Simulador!$D$16/100))</f>
        <v>31.278500000000005</v>
      </c>
      <c r="F9">
        <v>12</v>
      </c>
    </row>
    <row r="10" spans="3:6" ht="14.25">
      <c r="C10">
        <v>5</v>
      </c>
      <c r="D10" s="54">
        <f>D9*(1+(Simulador!$D$16/100))</f>
        <v>17569.200000000008</v>
      </c>
      <c r="E10" s="55">
        <f>E9*(1+(Simulador!$D$16/100))</f>
        <v>34.40635000000001</v>
      </c>
      <c r="F10">
        <v>12</v>
      </c>
    </row>
    <row r="11" spans="3:6" ht="14.25">
      <c r="C11">
        <v>6</v>
      </c>
      <c r="D11" s="54">
        <f>D10*(1+(Simulador!$D$16/100))</f>
        <v>19326.12000000001</v>
      </c>
      <c r="E11" s="55">
        <f>E10*(1+(Simulador!$D$16/100))</f>
        <v>37.84698500000002</v>
      </c>
      <c r="F11">
        <v>12</v>
      </c>
    </row>
    <row r="12" spans="3:6" ht="14.25">
      <c r="C12">
        <v>7</v>
      </c>
      <c r="D12" s="54">
        <f>D11*(1+(Simulador!$D$16/100))</f>
        <v>21258.73200000001</v>
      </c>
      <c r="E12" s="55">
        <f>E11*(1+(Simulador!$D$16/100))</f>
        <v>41.63168350000002</v>
      </c>
      <c r="F12">
        <v>12</v>
      </c>
    </row>
    <row r="13" spans="3:6" ht="14.25">
      <c r="C13">
        <v>8</v>
      </c>
      <c r="D13" s="54">
        <f>D12*(1+(Simulador!$D$16/100))</f>
        <v>23384.605200000013</v>
      </c>
      <c r="E13" s="55">
        <f>E12*(1+(Simulador!$D$16/100))</f>
        <v>45.79485185000003</v>
      </c>
      <c r="F13">
        <v>12</v>
      </c>
    </row>
    <row r="14" spans="3:6" ht="14.25">
      <c r="C14">
        <v>9</v>
      </c>
      <c r="D14" s="54">
        <f>D13*(1+(Simulador!$D$16/100))</f>
        <v>25723.065720000017</v>
      </c>
      <c r="E14" s="55">
        <f>E13*(1+(Simulador!$D$16/100))</f>
        <v>50.37433703500004</v>
      </c>
      <c r="F14">
        <v>12</v>
      </c>
    </row>
    <row r="15" spans="3:6" ht="14.25">
      <c r="C15">
        <v>10</v>
      </c>
      <c r="D15" s="54">
        <f>D14*(1+(Simulador!$D$16/100))</f>
        <v>28295.372292000022</v>
      </c>
      <c r="E15" s="55">
        <f>E14*(1+(Simulador!$D$16/100))</f>
        <v>55.411770738500046</v>
      </c>
      <c r="F15">
        <v>12</v>
      </c>
    </row>
    <row r="16" spans="3:6" ht="14.25">
      <c r="C16">
        <v>11</v>
      </c>
      <c r="D16" s="54">
        <f>D15*(1+(Simulador!$D$16/100))</f>
        <v>31124.909521200025</v>
      </c>
      <c r="E16" s="55">
        <f>E15*(1+(Simulador!$D$16/100))</f>
        <v>60.952947812350054</v>
      </c>
      <c r="F16">
        <v>12</v>
      </c>
    </row>
    <row r="17" spans="3:6" ht="14.25">
      <c r="C17">
        <v>12</v>
      </c>
      <c r="D17" s="54">
        <f>D16*(1+(Simulador!$D$16/100))</f>
        <v>34237.40047332003</v>
      </c>
      <c r="E17" s="55">
        <f>E16*(1+(Simulador!$D$16/100))</f>
        <v>67.04824259358506</v>
      </c>
      <c r="F17">
        <v>12</v>
      </c>
    </row>
    <row r="18" spans="3:6" ht="14.25">
      <c r="C18">
        <v>13</v>
      </c>
      <c r="D18" s="54">
        <f>D17*(1+(Simulador!$D$16/100))</f>
        <v>37661.140520652036</v>
      </c>
      <c r="E18" s="55">
        <f>E17*(1+(Simulador!$D$16/100))</f>
        <v>73.75306685294358</v>
      </c>
      <c r="F18">
        <v>12</v>
      </c>
    </row>
    <row r="19" spans="3:6" ht="14.25">
      <c r="C19">
        <v>14</v>
      </c>
      <c r="D19" s="54">
        <f>D18*(1+(Simulador!$D$16/100))</f>
        <v>41427.25457271724</v>
      </c>
      <c r="E19" s="55">
        <f>E18*(1+(Simulador!$D$16/100))</f>
        <v>81.12837353823794</v>
      </c>
      <c r="F19">
        <v>12</v>
      </c>
    </row>
    <row r="20" spans="3:6" ht="14.25">
      <c r="C20">
        <v>15</v>
      </c>
      <c r="D20" s="54">
        <f>D19*(1+(Simulador!$D$16/100))</f>
        <v>45569.98002998897</v>
      </c>
      <c r="E20" s="55">
        <f>E19*(1+(Simulador!$D$16/100))</f>
        <v>89.24121089206174</v>
      </c>
      <c r="F20">
        <v>12</v>
      </c>
    </row>
    <row r="21" spans="3:6" ht="14.25">
      <c r="C21">
        <v>16</v>
      </c>
      <c r="D21" s="54">
        <f>D20*(1+(Simulador!$D$16/100))</f>
        <v>50126.97803298787</v>
      </c>
      <c r="E21" s="55">
        <f>E20*(1+(Simulador!$D$16/100))</f>
        <v>98.16533198126793</v>
      </c>
      <c r="F21">
        <v>12</v>
      </c>
    </row>
    <row r="22" spans="3:6" ht="14.25">
      <c r="C22">
        <v>17</v>
      </c>
      <c r="D22" s="54">
        <f>D21*(1+(Simulador!$D$16/100))</f>
        <v>55139.67583628666</v>
      </c>
      <c r="E22" s="55">
        <f>E21*(1+(Simulador!$D$16/100))</f>
        <v>107.98186517939473</v>
      </c>
      <c r="F22">
        <v>12</v>
      </c>
    </row>
    <row r="23" spans="3:6" ht="14.25">
      <c r="C23">
        <v>18</v>
      </c>
      <c r="D23" s="54">
        <f>D22*(1+(Simulador!$D$16/100))</f>
        <v>60653.64341991533</v>
      </c>
      <c r="E23" s="55">
        <f>E22*(1+(Simulador!$D$16/100))</f>
        <v>118.78005169733422</v>
      </c>
      <c r="F23">
        <v>12</v>
      </c>
    </row>
    <row r="24" spans="3:6" ht="14.25">
      <c r="C24">
        <v>19</v>
      </c>
      <c r="D24" s="54">
        <f>D23*(1+(Simulador!$D$16/100))</f>
        <v>66719.00776190686</v>
      </c>
      <c r="E24" s="55">
        <f>E23*(1+(Simulador!$D$16/100))</f>
        <v>130.65805686706764</v>
      </c>
      <c r="F24">
        <v>12</v>
      </c>
    </row>
    <row r="25" spans="3:6" ht="14.25">
      <c r="C25">
        <v>20</v>
      </c>
      <c r="D25" s="54">
        <f>D24*(1+(Simulador!$D$16/100))</f>
        <v>73390.90853809756</v>
      </c>
      <c r="E25" s="55">
        <f>E24*(1+(Simulador!$D$16/100))</f>
        <v>143.7238625537744</v>
      </c>
      <c r="F25">
        <v>12</v>
      </c>
    </row>
    <row r="26" spans="3:6" ht="14.25">
      <c r="C26">
        <v>21</v>
      </c>
      <c r="D26" s="54">
        <f>D25*(1+(Simulador!$D$16/100))</f>
        <v>80729.99939190732</v>
      </c>
      <c r="E26" s="55">
        <f>E25*(1+(Simulador!$D$16/100))</f>
        <v>158.09624880915186</v>
      </c>
      <c r="F26">
        <v>12</v>
      </c>
    </row>
    <row r="27" spans="3:6" ht="14.25">
      <c r="C27">
        <v>22</v>
      </c>
      <c r="D27" s="54">
        <f>D26*(1+(Simulador!$D$16/100))</f>
        <v>88802.99933109805</v>
      </c>
      <c r="E27" s="55">
        <f>E26*(1+(Simulador!$D$16/100))</f>
        <v>173.90587369006707</v>
      </c>
      <c r="F27">
        <v>12</v>
      </c>
    </row>
    <row r="28" spans="3:6" ht="14.25">
      <c r="C28">
        <v>23</v>
      </c>
      <c r="D28" s="54">
        <f>D27*(1+(Simulador!$D$16/100))</f>
        <v>97683.29926420786</v>
      </c>
      <c r="E28" s="55">
        <f>E27*(1+(Simulador!$D$16/100))</f>
        <v>191.29646105907378</v>
      </c>
      <c r="F28">
        <v>12</v>
      </c>
    </row>
    <row r="29" spans="3:6" ht="14.25">
      <c r="C29">
        <v>24</v>
      </c>
      <c r="D29" s="54">
        <f>D28*(1+(Simulador!$D$16/100))</f>
        <v>107451.62919062865</v>
      </c>
      <c r="E29" s="55">
        <f>E28*(1+(Simulador!$D$16/100))</f>
        <v>210.42610716498118</v>
      </c>
      <c r="F29">
        <v>12</v>
      </c>
    </row>
    <row r="30" spans="3:6" ht="14.25">
      <c r="C30">
        <v>25</v>
      </c>
      <c r="D30" s="54">
        <f>D29*(1+(Simulador!$D$16/100))</f>
        <v>118196.79210969152</v>
      </c>
      <c r="E30" s="55">
        <f>E29*(1+(Simulador!$D$16/100))</f>
        <v>231.4687178814793</v>
      </c>
      <c r="F30">
        <v>12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andreasmaeda@outlook.com</dc:creator>
  <cp:keywords/>
  <dc:description/>
  <cp:lastModifiedBy>Visitante</cp:lastModifiedBy>
  <cp:lastPrinted>2016-03-11T12:30:56Z</cp:lastPrinted>
  <dcterms:created xsi:type="dcterms:W3CDTF">2016-02-04T20:26:50Z</dcterms:created>
  <dcterms:modified xsi:type="dcterms:W3CDTF">2016-04-07T01:51:48Z</dcterms:modified>
  <cp:category/>
  <cp:version/>
  <cp:contentType/>
  <cp:contentStatus/>
</cp:coreProperties>
</file>